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1"/>
  </bookViews>
  <sheets>
    <sheet name="OCAK" sheetId="1" r:id="rId1"/>
    <sheet name="ŞUBAT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4" i="2" l="1"/>
  <c r="R33" i="2"/>
  <c r="R35" i="2" l="1"/>
  <c r="R37" i="2" s="1"/>
  <c r="R32" i="2"/>
  <c r="R30" i="2"/>
  <c r="M35" i="2"/>
  <c r="N33" i="2"/>
  <c r="O33" i="2" s="1"/>
  <c r="N32" i="2"/>
  <c r="O32" i="2" s="1"/>
  <c r="O38" i="2"/>
  <c r="O34" i="2"/>
  <c r="M34" i="2"/>
  <c r="G37" i="2"/>
  <c r="I37" i="2" s="1"/>
  <c r="G36" i="2"/>
  <c r="G34" i="2"/>
  <c r="I34" i="2" s="1"/>
  <c r="G33" i="2"/>
  <c r="I33" i="2" s="1"/>
  <c r="G32" i="2"/>
  <c r="I32" i="2" s="1"/>
  <c r="I36" i="2"/>
  <c r="D39" i="2"/>
  <c r="D38" i="2"/>
  <c r="D37" i="2"/>
  <c r="D36" i="2"/>
  <c r="D35" i="2"/>
  <c r="D34" i="2"/>
  <c r="D33" i="2"/>
  <c r="D32" i="2"/>
  <c r="O35" i="2" l="1"/>
  <c r="O39" i="2" s="1"/>
  <c r="O41" i="2" s="1"/>
  <c r="I38" i="2"/>
  <c r="I35" i="2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I39" i="2" l="1"/>
  <c r="O24" i="2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R30" i="1"/>
  <c r="Q30" i="1"/>
  <c r="P30" i="1"/>
  <c r="O29" i="1"/>
  <c r="N29" i="1"/>
  <c r="K29" i="1"/>
  <c r="E29" i="1"/>
  <c r="O30" i="1" l="1"/>
  <c r="N30" i="1"/>
  <c r="K30" i="1"/>
  <c r="H30" i="1"/>
  <c r="E30" i="1"/>
  <c r="B30" i="1"/>
  <c r="O28" i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K5" i="1"/>
  <c r="H5" i="1"/>
  <c r="E5" i="1"/>
  <c r="B5" i="1"/>
  <c r="O4" i="1"/>
  <c r="E4" i="1"/>
  <c r="B4" i="1"/>
  <c r="O3" i="1" l="1"/>
  <c r="K3" i="1"/>
  <c r="H3" i="1"/>
  <c r="E3" i="1"/>
  <c r="B3" i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<sst xmlns="http://schemas.openxmlformats.org/spreadsheetml/2006/main" count="66" uniqueCount="37">
  <si>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</si>
  <si>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</si>
  <si>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</si>
  <si>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</si>
  <si>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</si>
  <si>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</si>
  <si>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</si>
  <si>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</si>
  <si>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</si>
  <si>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</si>
  <si>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</si>
  <si>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</si>
  <si>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</si>
  <si>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</si>
  <si>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</si>
  <si>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</si>
  <si>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</si>
  <si>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</si>
  <si>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</si>
  <si>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</si>
  <si>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</si>
  <si>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</si>
  <si>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GİB ÖKC RAPOR KARŞILAŞTIRMA</t>
  </si>
  <si>
    <t>1. ÖKC</t>
  </si>
  <si>
    <t>2. ÖKC</t>
  </si>
  <si>
    <t>TOPLAM</t>
  </si>
  <si>
    <t>FATURA</t>
  </si>
  <si>
    <t>KK</t>
  </si>
  <si>
    <t>FARK</t>
  </si>
  <si>
    <t>NEVİN RAPOR KARŞILAŞTIRMA</t>
  </si>
  <si>
    <t>MİZAN RAPOR KARŞILAŞTIRMA</t>
  </si>
  <si>
    <t>KDV HRÇ</t>
  </si>
  <si>
    <t>KDV</t>
  </si>
  <si>
    <t>CARİ</t>
  </si>
  <si>
    <t>ÖKC</t>
  </si>
  <si>
    <t>120 99</t>
  </si>
  <si>
    <t>FARK-cari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</si>
</sst>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1" xfId="0" applyNumberFormat="1" applyFill="1" applyBorder="1"/>
    <xf numFmtId="4" fontId="0" fillId="0" borderId="0" xfId="0" applyNumberForma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14" fontId="0" fillId="0" borderId="1" xfId="0" applyNumberForma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2" fillId="0" borderId="0" xfId="0" applyNumberFormat="1" applyFont="1" applyFill="1" applyAlignment="1">
      <alignment horizontal="center"/>
    </xf>
    <xf numFmtId="4" fontId="0" fillId="0" borderId="0" xfId="0" applyNumberFormat="1" applyFill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9" fontId="0" fillId="0" borderId="6" xfId="0" applyNumberFormat="1" applyFill="1" applyBorder="1" applyAlignment="1">
      <alignment horizontal="center"/>
    </xf>
    <xf numFmtId="4" fontId="0" fillId="0" borderId="0" xfId="0" applyNumberFormat="1" applyFill="1" applyBorder="1"/>
    <xf numFmtId="4" fontId="0" fillId="0" borderId="7" xfId="0" applyNumberForma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4" fontId="1" fillId="0" borderId="7" xfId="0" applyNumberFormat="1" applyFont="1" applyFill="1" applyBorder="1"/>
    <xf numFmtId="0" fontId="0" fillId="0" borderId="8" xfId="0" applyFill="1" applyBorder="1" applyAlignment="1">
      <alignment horizontal="center"/>
    </xf>
    <xf numFmtId="0" fontId="0" fillId="0" borderId="9" xfId="0" applyFill="1" applyBorder="1"/>
    <xf numFmtId="0" fontId="1" fillId="0" borderId="9" xfId="0" applyFont="1" applyFill="1" applyBorder="1"/>
    <xf numFmtId="4" fontId="1" fillId="0" borderId="10" xfId="0" applyNumberFormat="1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9" t="s">
        <v>8</v>
      </c>
      <c r="R1" s="49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8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8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8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4" spans="2:14" x14ac:dyDescent="0.3">
      <c r="B34" s="19"/>
      <c r="E34" s="19"/>
      <c r="H34" s="19"/>
      <c r="K34" s="19"/>
      <c r="N34" s="19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16" workbookViewId="0">
      <selection activeCell="I37" sqref="I37"/>
    </sheetView>
  </sheetViews>
  <sheetFormatPr defaultRowHeight="14.4" x14ac:dyDescent="0.3"/>
  <cols>
    <col min="1" max="1" width="10.109375" style="27" bestFit="1" customWidth="1"/>
    <col min="2" max="2" width="11.5546875" style="22" bestFit="1" customWidth="1"/>
    <col min="3" max="4" width="11.5546875" style="22" customWidth="1"/>
    <col min="5" max="7" width="11.33203125" style="22" customWidth="1"/>
    <col min="8" max="8" width="8.88671875" style="22"/>
    <col min="9" max="9" width="12.77734375" style="22" customWidth="1"/>
    <col min="10" max="12" width="8.88671875" style="22"/>
    <col min="13" max="14" width="11.5546875" style="22" bestFit="1" customWidth="1"/>
    <col min="15" max="15" width="12.33203125" style="22" bestFit="1" customWidth="1"/>
    <col min="16" max="16" width="10.109375" style="22" customWidth="1"/>
    <col min="17" max="17" width="12.88671875" style="22" customWidth="1"/>
    <col min="18" max="18" width="11.44140625" style="22" bestFit="1" customWidth="1"/>
    <col min="19" max="19" width="31.33203125" style="27" bestFit="1" customWidth="1"/>
    <col min="20" max="16384" width="8.88671875" style="22"/>
  </cols>
  <sheetData>
    <row r="1" spans="1:19" x14ac:dyDescent="0.3">
      <c r="A1" s="20" t="s">
        <v>0</v>
      </c>
      <c r="B1" s="21" t="s">
        <v>1</v>
      </c>
      <c r="C1" s="21"/>
      <c r="D1" s="21"/>
      <c r="E1" s="21" t="s">
        <v>2</v>
      </c>
      <c r="F1" s="21"/>
      <c r="G1" s="21"/>
      <c r="H1" s="21" t="s">
        <v>3</v>
      </c>
      <c r="I1" s="21"/>
      <c r="J1" s="21"/>
      <c r="K1" s="21" t="s">
        <v>4</v>
      </c>
      <c r="L1" s="21"/>
      <c r="M1" s="21"/>
      <c r="N1" s="21" t="s">
        <v>5</v>
      </c>
      <c r="O1" s="21" t="s">
        <v>6</v>
      </c>
      <c r="P1" s="21" t="s">
        <v>7</v>
      </c>
      <c r="Q1" s="50" t="s">
        <v>8</v>
      </c>
      <c r="R1" s="50"/>
      <c r="S1" s="20" t="s">
        <v>9</v>
      </c>
    </row>
    <row r="2" spans="1:19" x14ac:dyDescent="0.3">
      <c r="A2" s="23"/>
      <c r="B2" s="24">
        <v>0.1</v>
      </c>
      <c r="C2" s="24"/>
      <c r="D2" s="24"/>
      <c r="E2" s="24">
        <v>0.1</v>
      </c>
      <c r="F2" s="24"/>
      <c r="G2" s="24"/>
      <c r="H2" s="24">
        <v>0.2</v>
      </c>
      <c r="I2" s="24"/>
      <c r="J2" s="24"/>
      <c r="K2" s="24">
        <v>0.2</v>
      </c>
      <c r="L2" s="24"/>
      <c r="M2" s="24"/>
      <c r="N2" s="20"/>
      <c r="O2" s="20"/>
      <c r="P2" s="20"/>
      <c r="Q2" s="20" t="s">
        <v>5</v>
      </c>
      <c r="R2" s="20" t="s">
        <v>11</v>
      </c>
      <c r="S2" s="25"/>
    </row>
    <row r="3" spans="1:19" x14ac:dyDescent="0.3">
      <c r="A3" s="23">
        <v>45689</v>
      </c>
      <c r="B3" s="16">
        <f>105590+103715</f>
        <v>209305</v>
      </c>
      <c r="C3" s="18">
        <f>B3/1.1</f>
        <v>190277.27272727271</v>
      </c>
      <c r="D3" s="18">
        <f>C3*10/100</f>
        <v>19027.727272727272</v>
      </c>
      <c r="E3" s="16">
        <f>3710+5105</f>
        <v>8815</v>
      </c>
      <c r="F3" s="18">
        <f>E3/1.1</f>
        <v>8013.6363636363631</v>
      </c>
      <c r="G3" s="18">
        <f>F3*10/100</f>
        <v>801.36363636363637</v>
      </c>
      <c r="H3" s="16">
        <v>1050</v>
      </c>
      <c r="I3" s="18">
        <f>H3/1.2</f>
        <v>875</v>
      </c>
      <c r="J3" s="18">
        <f>I3*20/100</f>
        <v>175</v>
      </c>
      <c r="K3" s="16">
        <f>3280+4720</f>
        <v>8000</v>
      </c>
      <c r="L3" s="18">
        <f>K3/1.2</f>
        <v>6666.666666666667</v>
      </c>
      <c r="M3" s="18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8">
        <v>0</v>
      </c>
      <c r="R3" s="16">
        <v>3890</v>
      </c>
      <c r="S3" s="25"/>
    </row>
    <row r="4" spans="1:19" x14ac:dyDescent="0.3">
      <c r="A4" s="23">
        <v>45690</v>
      </c>
      <c r="B4" s="16">
        <f>71440.5+120810</f>
        <v>192250.5</v>
      </c>
      <c r="C4" s="18">
        <f t="shared" ref="C4:C26" si="0">B4/1.1</f>
        <v>174773.18181818179</v>
      </c>
      <c r="D4" s="18">
        <f t="shared" ref="D4:D26" si="1">C4*10/100</f>
        <v>17477.31818181818</v>
      </c>
      <c r="E4" s="16">
        <f>6200+11195</f>
        <v>17395</v>
      </c>
      <c r="F4" s="18">
        <f t="shared" ref="F4:F26" si="2">E4/1.1</f>
        <v>15813.636363636362</v>
      </c>
      <c r="G4" s="18">
        <f t="shared" ref="G4:G26" si="3">F4*10/100</f>
        <v>1581.3636363636363</v>
      </c>
      <c r="H4" s="16">
        <v>215</v>
      </c>
      <c r="I4" s="18">
        <f t="shared" ref="I4:I26" si="4">H4/1.2</f>
        <v>179.16666666666669</v>
      </c>
      <c r="J4" s="18">
        <f t="shared" ref="J4:J26" si="5">I4*20/100</f>
        <v>35.833333333333343</v>
      </c>
      <c r="K4" s="16">
        <f>1040+2720</f>
        <v>3760</v>
      </c>
      <c r="L4" s="18">
        <f t="shared" ref="L4:L26" si="6">K4/1.2</f>
        <v>3133.3333333333335</v>
      </c>
      <c r="M4" s="18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8">
        <v>0</v>
      </c>
      <c r="R4" s="16">
        <f>2685+10190</f>
        <v>12875</v>
      </c>
      <c r="S4" s="25"/>
    </row>
    <row r="5" spans="1:19" x14ac:dyDescent="0.3">
      <c r="A5" s="23">
        <v>45692</v>
      </c>
      <c r="B5" s="16">
        <f>9225+39725</f>
        <v>48950</v>
      </c>
      <c r="C5" s="18">
        <f t="shared" si="0"/>
        <v>44500</v>
      </c>
      <c r="D5" s="18">
        <f t="shared" si="1"/>
        <v>4450</v>
      </c>
      <c r="E5" s="16">
        <f>520+3325</f>
        <v>3845</v>
      </c>
      <c r="F5" s="18">
        <f t="shared" si="2"/>
        <v>3495.454545454545</v>
      </c>
      <c r="G5" s="18">
        <f t="shared" si="3"/>
        <v>349.5454545454545</v>
      </c>
      <c r="H5" s="18">
        <v>0</v>
      </c>
      <c r="I5" s="18">
        <f t="shared" si="4"/>
        <v>0</v>
      </c>
      <c r="J5" s="18">
        <f t="shared" si="5"/>
        <v>0</v>
      </c>
      <c r="K5" s="16">
        <f>480+1520</f>
        <v>2000</v>
      </c>
      <c r="L5" s="18">
        <f t="shared" si="6"/>
        <v>1666.6666666666667</v>
      </c>
      <c r="M5" s="18">
        <f t="shared" si="7"/>
        <v>333.33333333333337</v>
      </c>
      <c r="N5" s="16">
        <v>2315</v>
      </c>
      <c r="O5" s="16">
        <f>10225+42255</f>
        <v>52480</v>
      </c>
      <c r="P5" s="18">
        <v>0</v>
      </c>
      <c r="Q5" s="18">
        <v>0</v>
      </c>
      <c r="R5" s="16">
        <f>3350+6270</f>
        <v>9620</v>
      </c>
      <c r="S5" s="25"/>
    </row>
    <row r="6" spans="1:19" x14ac:dyDescent="0.3">
      <c r="A6" s="23">
        <v>45693</v>
      </c>
      <c r="B6" s="16">
        <f>13105+60682.93</f>
        <v>73787.929999999993</v>
      </c>
      <c r="C6" s="18">
        <f t="shared" si="0"/>
        <v>67079.936363636356</v>
      </c>
      <c r="D6" s="18">
        <f t="shared" si="1"/>
        <v>6707.9936363636352</v>
      </c>
      <c r="E6" s="16">
        <f>805+2395</f>
        <v>3200</v>
      </c>
      <c r="F6" s="18">
        <f t="shared" si="2"/>
        <v>2909.090909090909</v>
      </c>
      <c r="G6" s="18">
        <f t="shared" si="3"/>
        <v>290.90909090909088</v>
      </c>
      <c r="H6" s="18">
        <v>0</v>
      </c>
      <c r="I6" s="18">
        <f t="shared" si="4"/>
        <v>0</v>
      </c>
      <c r="J6" s="18">
        <f t="shared" si="5"/>
        <v>0</v>
      </c>
      <c r="K6" s="16">
        <f>640+2437.07</f>
        <v>3077.07</v>
      </c>
      <c r="L6" s="18">
        <f t="shared" si="6"/>
        <v>2564.2250000000004</v>
      </c>
      <c r="M6" s="18">
        <f t="shared" si="7"/>
        <v>512.84500000000003</v>
      </c>
      <c r="N6" s="16">
        <f>10350</f>
        <v>10350</v>
      </c>
      <c r="O6" s="16">
        <f>14550+55165</f>
        <v>69715</v>
      </c>
      <c r="P6" s="18">
        <v>0</v>
      </c>
      <c r="Q6" s="18">
        <v>0</v>
      </c>
      <c r="R6" s="18">
        <v>0</v>
      </c>
      <c r="S6" s="26"/>
    </row>
    <row r="7" spans="1:19" x14ac:dyDescent="0.3">
      <c r="A7" s="23">
        <v>45694</v>
      </c>
      <c r="B7" s="16">
        <f>37515+32715</f>
        <v>70230</v>
      </c>
      <c r="C7" s="18">
        <f t="shared" si="0"/>
        <v>63845.454545454537</v>
      </c>
      <c r="D7" s="18">
        <f t="shared" si="1"/>
        <v>6384.545454545454</v>
      </c>
      <c r="E7" s="16">
        <f>1405+260</f>
        <v>1665</v>
      </c>
      <c r="F7" s="18">
        <f t="shared" si="2"/>
        <v>1513.6363636363635</v>
      </c>
      <c r="G7" s="18">
        <f t="shared" si="3"/>
        <v>151.36363636363637</v>
      </c>
      <c r="H7" s="18">
        <v>0</v>
      </c>
      <c r="I7" s="18">
        <f t="shared" si="4"/>
        <v>0</v>
      </c>
      <c r="J7" s="18">
        <f t="shared" si="5"/>
        <v>0</v>
      </c>
      <c r="K7" s="16">
        <f>880+320</f>
        <v>1200</v>
      </c>
      <c r="L7" s="18">
        <f t="shared" si="6"/>
        <v>1000</v>
      </c>
      <c r="M7" s="18">
        <f t="shared" si="7"/>
        <v>200</v>
      </c>
      <c r="N7" s="16">
        <v>1000</v>
      </c>
      <c r="O7" s="16">
        <f>37680+32295</f>
        <v>69975</v>
      </c>
      <c r="P7" s="16">
        <v>2120</v>
      </c>
      <c r="Q7" s="18">
        <v>0</v>
      </c>
      <c r="R7" s="18">
        <v>0</v>
      </c>
      <c r="S7" s="26"/>
    </row>
    <row r="8" spans="1:19" x14ac:dyDescent="0.3">
      <c r="A8" s="23">
        <v>45695</v>
      </c>
      <c r="B8" s="16">
        <f>33325+17965</f>
        <v>51290</v>
      </c>
      <c r="C8" s="18">
        <f t="shared" si="0"/>
        <v>46627.272727272721</v>
      </c>
      <c r="D8" s="18">
        <f t="shared" si="1"/>
        <v>4662.7272727272721</v>
      </c>
      <c r="E8" s="16">
        <f>3500+1530</f>
        <v>5030</v>
      </c>
      <c r="F8" s="18">
        <f t="shared" si="2"/>
        <v>4572.7272727272721</v>
      </c>
      <c r="G8" s="18">
        <f t="shared" si="3"/>
        <v>457.2727272727272</v>
      </c>
      <c r="H8" s="16">
        <v>210</v>
      </c>
      <c r="I8" s="18">
        <f t="shared" si="4"/>
        <v>175</v>
      </c>
      <c r="J8" s="18">
        <f t="shared" si="5"/>
        <v>35</v>
      </c>
      <c r="K8" s="16">
        <f>1360+960</f>
        <v>2320</v>
      </c>
      <c r="L8" s="18">
        <f t="shared" si="6"/>
        <v>1933.3333333333335</v>
      </c>
      <c r="M8" s="18">
        <f t="shared" si="7"/>
        <v>386.66666666666674</v>
      </c>
      <c r="N8" s="16">
        <v>3575</v>
      </c>
      <c r="O8" s="16">
        <f>34820+20455</f>
        <v>55275</v>
      </c>
      <c r="P8" s="18">
        <v>0</v>
      </c>
      <c r="Q8" s="18">
        <v>0</v>
      </c>
      <c r="R8" s="16">
        <v>4660</v>
      </c>
      <c r="S8" s="25"/>
    </row>
    <row r="9" spans="1:19" x14ac:dyDescent="0.3">
      <c r="A9" s="23">
        <v>45696</v>
      </c>
      <c r="B9" s="16">
        <f>61680+82650</f>
        <v>144330</v>
      </c>
      <c r="C9" s="18">
        <f t="shared" si="0"/>
        <v>131209.09090909091</v>
      </c>
      <c r="D9" s="18">
        <f t="shared" si="1"/>
        <v>13120.909090909092</v>
      </c>
      <c r="E9" s="16">
        <f>4400+4810</f>
        <v>9210</v>
      </c>
      <c r="F9" s="18">
        <f t="shared" si="2"/>
        <v>8372.7272727272721</v>
      </c>
      <c r="G9" s="18">
        <f t="shared" si="3"/>
        <v>837.27272727272725</v>
      </c>
      <c r="H9" s="18">
        <v>0</v>
      </c>
      <c r="I9" s="18">
        <f t="shared" si="4"/>
        <v>0</v>
      </c>
      <c r="J9" s="18">
        <f t="shared" si="5"/>
        <v>0</v>
      </c>
      <c r="K9" s="16">
        <f>2640+1920</f>
        <v>4560</v>
      </c>
      <c r="L9" s="18">
        <f t="shared" si="6"/>
        <v>3800</v>
      </c>
      <c r="M9" s="18">
        <f t="shared" si="7"/>
        <v>760</v>
      </c>
      <c r="N9" s="16">
        <v>7280</v>
      </c>
      <c r="O9" s="16">
        <f>61440+89380</f>
        <v>150820</v>
      </c>
      <c r="P9" s="18">
        <v>0</v>
      </c>
      <c r="Q9" s="18">
        <v>0</v>
      </c>
      <c r="R9" s="16">
        <f>27940+11475</f>
        <v>39415</v>
      </c>
      <c r="S9" s="25"/>
    </row>
    <row r="10" spans="1:19" x14ac:dyDescent="0.3">
      <c r="A10" s="23">
        <v>45697</v>
      </c>
      <c r="B10" s="16">
        <f>74400+96115</f>
        <v>170515</v>
      </c>
      <c r="C10" s="18">
        <f t="shared" si="0"/>
        <v>155013.63636363635</v>
      </c>
      <c r="D10" s="18">
        <f t="shared" si="1"/>
        <v>15501.363636363636</v>
      </c>
      <c r="E10" s="16">
        <f>5600+9140</f>
        <v>14740</v>
      </c>
      <c r="F10" s="18">
        <f t="shared" si="2"/>
        <v>13399.999999999998</v>
      </c>
      <c r="G10" s="18">
        <f t="shared" si="3"/>
        <v>1339.9999999999998</v>
      </c>
      <c r="H10" s="16">
        <v>1400</v>
      </c>
      <c r="I10" s="18">
        <f t="shared" si="4"/>
        <v>1166.6666666666667</v>
      </c>
      <c r="J10" s="18">
        <f t="shared" si="5"/>
        <v>233.33333333333337</v>
      </c>
      <c r="K10" s="16">
        <f>1680+2080</f>
        <v>3760</v>
      </c>
      <c r="L10" s="18">
        <f t="shared" si="6"/>
        <v>3133.3333333333335</v>
      </c>
      <c r="M10" s="18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8">
        <v>0</v>
      </c>
      <c r="R10" s="16">
        <v>17610</v>
      </c>
      <c r="S10" s="25" t="s">
        <v>20</v>
      </c>
    </row>
    <row r="11" spans="1:19" x14ac:dyDescent="0.3">
      <c r="A11" s="23">
        <v>45699</v>
      </c>
      <c r="B11" s="16">
        <f>41160+35035</f>
        <v>76195</v>
      </c>
      <c r="C11" s="18">
        <f t="shared" si="0"/>
        <v>69268.181818181809</v>
      </c>
      <c r="D11" s="18">
        <f t="shared" si="1"/>
        <v>6926.8181818181811</v>
      </c>
      <c r="E11" s="16">
        <v>595</v>
      </c>
      <c r="F11" s="18">
        <f t="shared" si="2"/>
        <v>540.90909090909088</v>
      </c>
      <c r="G11" s="18">
        <f t="shared" si="3"/>
        <v>54.090909090909093</v>
      </c>
      <c r="H11" s="16">
        <v>4800</v>
      </c>
      <c r="I11" s="18">
        <f t="shared" si="4"/>
        <v>4000</v>
      </c>
      <c r="J11" s="18">
        <f t="shared" si="5"/>
        <v>800</v>
      </c>
      <c r="K11" s="16">
        <v>880</v>
      </c>
      <c r="L11" s="18">
        <f t="shared" si="6"/>
        <v>733.33333333333337</v>
      </c>
      <c r="M11" s="18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8">
        <v>0</v>
      </c>
      <c r="R11" s="16">
        <v>11490</v>
      </c>
      <c r="S11" s="25"/>
    </row>
    <row r="12" spans="1:19" x14ac:dyDescent="0.3">
      <c r="A12" s="23">
        <v>45700</v>
      </c>
      <c r="B12" s="16">
        <f>44920+20945</f>
        <v>65865</v>
      </c>
      <c r="C12" s="18">
        <f t="shared" si="0"/>
        <v>59877.272727272721</v>
      </c>
      <c r="D12" s="18">
        <f t="shared" si="1"/>
        <v>5987.7272727272721</v>
      </c>
      <c r="E12" s="16">
        <f>3795+1870</f>
        <v>5665</v>
      </c>
      <c r="F12" s="18">
        <f t="shared" si="2"/>
        <v>5150</v>
      </c>
      <c r="G12" s="18">
        <f t="shared" si="3"/>
        <v>515</v>
      </c>
      <c r="H12" s="16">
        <v>560</v>
      </c>
      <c r="I12" s="18">
        <f t="shared" si="4"/>
        <v>466.66666666666669</v>
      </c>
      <c r="J12" s="18">
        <f t="shared" si="5"/>
        <v>93.333333333333343</v>
      </c>
      <c r="K12" s="16">
        <f>1440+1520</f>
        <v>2960</v>
      </c>
      <c r="L12" s="18">
        <f t="shared" si="6"/>
        <v>2466.666666666667</v>
      </c>
      <c r="M12" s="18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8">
        <v>0</v>
      </c>
      <c r="R12" s="16">
        <v>11020</v>
      </c>
      <c r="S12" s="25"/>
    </row>
    <row r="13" spans="1:19" x14ac:dyDescent="0.3">
      <c r="A13" s="23">
        <v>45701</v>
      </c>
      <c r="B13" s="16">
        <f>51135+30522.5</f>
        <v>81657.5</v>
      </c>
      <c r="C13" s="18">
        <f t="shared" si="0"/>
        <v>74234.090909090897</v>
      </c>
      <c r="D13" s="18">
        <f t="shared" si="1"/>
        <v>7423.4090909090892</v>
      </c>
      <c r="E13" s="16">
        <f>3630+2750</f>
        <v>6380</v>
      </c>
      <c r="F13" s="18">
        <f t="shared" si="2"/>
        <v>5799.9999999999991</v>
      </c>
      <c r="G13" s="18">
        <f t="shared" si="3"/>
        <v>579.99999999999989</v>
      </c>
      <c r="H13" s="18">
        <v>0</v>
      </c>
      <c r="I13" s="18">
        <f t="shared" si="4"/>
        <v>0</v>
      </c>
      <c r="J13" s="18">
        <f t="shared" si="5"/>
        <v>0</v>
      </c>
      <c r="K13" s="16">
        <f>2400+1760</f>
        <v>4160</v>
      </c>
      <c r="L13" s="18">
        <f t="shared" si="6"/>
        <v>3466.666666666667</v>
      </c>
      <c r="M13" s="18">
        <f t="shared" si="7"/>
        <v>693.33333333333348</v>
      </c>
      <c r="N13" s="16">
        <v>5355</v>
      </c>
      <c r="O13" s="16">
        <f>51810+35032.5</f>
        <v>86842.5</v>
      </c>
      <c r="P13" s="18">
        <v>0</v>
      </c>
      <c r="Q13" s="18">
        <v>0</v>
      </c>
      <c r="R13" s="16">
        <v>17815</v>
      </c>
      <c r="S13" s="25"/>
    </row>
    <row r="14" spans="1:19" x14ac:dyDescent="0.3">
      <c r="A14" s="23">
        <v>45702</v>
      </c>
      <c r="B14" s="16">
        <f>94460+84225</f>
        <v>178685</v>
      </c>
      <c r="C14" s="18">
        <f t="shared" si="0"/>
        <v>162440.90909090909</v>
      </c>
      <c r="D14" s="18">
        <f t="shared" si="1"/>
        <v>16244.090909090908</v>
      </c>
      <c r="E14" s="16">
        <f>1300+2095</f>
        <v>3395</v>
      </c>
      <c r="F14" s="18">
        <f t="shared" si="2"/>
        <v>3086.363636363636</v>
      </c>
      <c r="G14" s="18">
        <f t="shared" si="3"/>
        <v>308.63636363636363</v>
      </c>
      <c r="H14" s="18">
        <v>0</v>
      </c>
      <c r="I14" s="18">
        <f t="shared" si="4"/>
        <v>0</v>
      </c>
      <c r="J14" s="18">
        <f t="shared" si="5"/>
        <v>0</v>
      </c>
      <c r="K14" s="16">
        <f>320+160</f>
        <v>480</v>
      </c>
      <c r="L14" s="18">
        <f t="shared" si="6"/>
        <v>400</v>
      </c>
      <c r="M14" s="18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8">
        <v>0</v>
      </c>
      <c r="R14" s="18">
        <v>0</v>
      </c>
      <c r="S14" s="25" t="s">
        <v>21</v>
      </c>
    </row>
    <row r="15" spans="1:19" x14ac:dyDescent="0.3">
      <c r="A15" s="23">
        <v>45703</v>
      </c>
      <c r="B15" s="16">
        <f>108535+113245</f>
        <v>221780</v>
      </c>
      <c r="C15" s="18">
        <f t="shared" si="0"/>
        <v>201618.18181818179</v>
      </c>
      <c r="D15" s="18">
        <f t="shared" si="1"/>
        <v>20161.81818181818</v>
      </c>
      <c r="E15" s="16">
        <f>5900+6930</f>
        <v>12830</v>
      </c>
      <c r="F15" s="18">
        <f t="shared" si="2"/>
        <v>11663.636363636362</v>
      </c>
      <c r="G15" s="18">
        <f t="shared" si="3"/>
        <v>1166.3636363636363</v>
      </c>
      <c r="H15" s="16">
        <v>855</v>
      </c>
      <c r="I15" s="18">
        <f t="shared" si="4"/>
        <v>712.5</v>
      </c>
      <c r="J15" s="18">
        <f t="shared" si="5"/>
        <v>142.5</v>
      </c>
      <c r="K15" s="16">
        <f>3795+3680</f>
        <v>7475</v>
      </c>
      <c r="L15" s="18">
        <f t="shared" si="6"/>
        <v>6229.166666666667</v>
      </c>
      <c r="M15" s="18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8">
        <v>0</v>
      </c>
      <c r="R15" s="16">
        <v>5490</v>
      </c>
      <c r="S15" s="25"/>
    </row>
    <row r="16" spans="1:19" x14ac:dyDescent="0.3">
      <c r="A16" s="23">
        <v>45704</v>
      </c>
      <c r="B16" s="16">
        <f>98765+105585</f>
        <v>204350</v>
      </c>
      <c r="C16" s="18">
        <f t="shared" si="0"/>
        <v>185772.72727272726</v>
      </c>
      <c r="D16" s="18">
        <f t="shared" si="1"/>
        <v>18577.272727272728</v>
      </c>
      <c r="E16" s="16">
        <f>5880+9070</f>
        <v>14950</v>
      </c>
      <c r="F16" s="18">
        <f t="shared" si="2"/>
        <v>13590.90909090909</v>
      </c>
      <c r="G16" s="18">
        <f t="shared" si="3"/>
        <v>1359.090909090909</v>
      </c>
      <c r="H16" s="18">
        <v>0</v>
      </c>
      <c r="I16" s="18">
        <f t="shared" si="4"/>
        <v>0</v>
      </c>
      <c r="J16" s="18">
        <f t="shared" si="5"/>
        <v>0</v>
      </c>
      <c r="K16" s="16">
        <f>2400+2000</f>
        <v>4400</v>
      </c>
      <c r="L16" s="18">
        <f t="shared" si="6"/>
        <v>3666.666666666667</v>
      </c>
      <c r="M16" s="18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8">
        <v>0</v>
      </c>
      <c r="R16" s="18">
        <v>0</v>
      </c>
      <c r="S16" s="25"/>
    </row>
    <row r="17" spans="1:19" x14ac:dyDescent="0.3">
      <c r="A17" s="23">
        <v>45706</v>
      </c>
      <c r="B17" s="16">
        <f>41055+24095.75</f>
        <v>65150.75</v>
      </c>
      <c r="C17" s="18">
        <f t="shared" si="0"/>
        <v>59227.954545454544</v>
      </c>
      <c r="D17" s="18">
        <f t="shared" si="1"/>
        <v>5922.795454545454</v>
      </c>
      <c r="E17" s="16">
        <f>3985+2165</f>
        <v>6150</v>
      </c>
      <c r="F17" s="18">
        <f t="shared" si="2"/>
        <v>5590.9090909090901</v>
      </c>
      <c r="G17" s="18">
        <f t="shared" si="3"/>
        <v>559.09090909090901</v>
      </c>
      <c r="H17" s="18">
        <v>0</v>
      </c>
      <c r="I17" s="18">
        <f t="shared" si="4"/>
        <v>0</v>
      </c>
      <c r="J17" s="18">
        <f t="shared" si="5"/>
        <v>0</v>
      </c>
      <c r="K17" s="16">
        <f>480+1256</f>
        <v>1736</v>
      </c>
      <c r="L17" s="18">
        <f t="shared" si="6"/>
        <v>1446.6666666666667</v>
      </c>
      <c r="M17" s="18">
        <f t="shared" si="7"/>
        <v>289.33333333333337</v>
      </c>
      <c r="N17" s="16">
        <v>1505</v>
      </c>
      <c r="O17" s="16">
        <f>44015+27516.75</f>
        <v>71531.75</v>
      </c>
      <c r="P17" s="18">
        <v>0</v>
      </c>
      <c r="Q17" s="18">
        <v>0</v>
      </c>
      <c r="R17" s="18">
        <v>0</v>
      </c>
      <c r="S17" s="25"/>
    </row>
    <row r="18" spans="1:19" x14ac:dyDescent="0.3">
      <c r="A18" s="23">
        <v>45707</v>
      </c>
      <c r="B18" s="16">
        <f>13590+60055</f>
        <v>73645</v>
      </c>
      <c r="C18" s="18">
        <f t="shared" si="0"/>
        <v>66950</v>
      </c>
      <c r="D18" s="18">
        <f t="shared" si="1"/>
        <v>6695</v>
      </c>
      <c r="E18" s="16">
        <f>1035+7230</f>
        <v>8265</v>
      </c>
      <c r="F18" s="18">
        <f t="shared" si="2"/>
        <v>7513.6363636363631</v>
      </c>
      <c r="G18" s="18">
        <f t="shared" si="3"/>
        <v>751.36363636363637</v>
      </c>
      <c r="H18" s="16">
        <v>900</v>
      </c>
      <c r="I18" s="18">
        <f t="shared" si="4"/>
        <v>750</v>
      </c>
      <c r="J18" s="18">
        <f t="shared" si="5"/>
        <v>150</v>
      </c>
      <c r="K18" s="16">
        <f>160+2240</f>
        <v>2400</v>
      </c>
      <c r="L18" s="18">
        <f t="shared" si="6"/>
        <v>2000</v>
      </c>
      <c r="M18" s="18">
        <f t="shared" si="7"/>
        <v>400</v>
      </c>
      <c r="N18" s="16">
        <f>2390+7480</f>
        <v>9870</v>
      </c>
      <c r="O18" s="16">
        <f>12395+62945</f>
        <v>75340</v>
      </c>
      <c r="P18" s="18">
        <v>0</v>
      </c>
      <c r="Q18" s="18">
        <v>0</v>
      </c>
      <c r="R18" s="16">
        <v>8200</v>
      </c>
      <c r="S18" s="25"/>
    </row>
    <row r="19" spans="1:19" x14ac:dyDescent="0.3">
      <c r="A19" s="23">
        <v>45708</v>
      </c>
      <c r="B19" s="16">
        <f>12505+32580</f>
        <v>45085</v>
      </c>
      <c r="C19" s="18">
        <f t="shared" si="0"/>
        <v>40986.363636363632</v>
      </c>
      <c r="D19" s="18">
        <f t="shared" si="1"/>
        <v>4098.636363636364</v>
      </c>
      <c r="E19" s="18">
        <v>0</v>
      </c>
      <c r="F19" s="18">
        <f t="shared" si="2"/>
        <v>0</v>
      </c>
      <c r="G19" s="18">
        <f t="shared" si="3"/>
        <v>0</v>
      </c>
      <c r="H19" s="18">
        <v>0</v>
      </c>
      <c r="I19" s="18">
        <f t="shared" si="4"/>
        <v>0</v>
      </c>
      <c r="J19" s="18">
        <f t="shared" si="5"/>
        <v>0</v>
      </c>
      <c r="K19" s="16">
        <v>400</v>
      </c>
      <c r="L19" s="18">
        <f t="shared" si="6"/>
        <v>333.33333333333337</v>
      </c>
      <c r="M19" s="18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8">
        <v>0</v>
      </c>
      <c r="R19" s="18">
        <v>0</v>
      </c>
      <c r="S19" s="25"/>
    </row>
    <row r="20" spans="1:19" x14ac:dyDescent="0.3">
      <c r="A20" s="23">
        <v>45709</v>
      </c>
      <c r="B20" s="16">
        <f>38357+12765</f>
        <v>51122</v>
      </c>
      <c r="C20" s="18">
        <f t="shared" si="0"/>
        <v>46474.545454545449</v>
      </c>
      <c r="D20" s="18">
        <f t="shared" si="1"/>
        <v>4647.454545454545</v>
      </c>
      <c r="E20" s="18">
        <v>0</v>
      </c>
      <c r="F20" s="18">
        <f t="shared" si="2"/>
        <v>0</v>
      </c>
      <c r="G20" s="18">
        <f t="shared" si="3"/>
        <v>0</v>
      </c>
      <c r="H20" s="16">
        <v>500</v>
      </c>
      <c r="I20" s="18">
        <f t="shared" si="4"/>
        <v>416.66666666666669</v>
      </c>
      <c r="J20" s="18">
        <f t="shared" si="5"/>
        <v>83.333333333333343</v>
      </c>
      <c r="K20" s="16">
        <f>320+895.5</f>
        <v>1215.5</v>
      </c>
      <c r="L20" s="18">
        <f t="shared" si="6"/>
        <v>1012.9166666666667</v>
      </c>
      <c r="M20" s="18">
        <f t="shared" si="7"/>
        <v>202.58333333333337</v>
      </c>
      <c r="N20" s="16">
        <f>5655+2975.5</f>
        <v>8630.5</v>
      </c>
      <c r="O20" s="16">
        <f>33022+11185</f>
        <v>44207</v>
      </c>
      <c r="P20" s="18">
        <v>0</v>
      </c>
      <c r="Q20" s="18">
        <v>0</v>
      </c>
      <c r="R20" s="18">
        <v>0</v>
      </c>
      <c r="S20" s="25"/>
    </row>
    <row r="21" spans="1:19" x14ac:dyDescent="0.3">
      <c r="A21" s="23">
        <v>45710</v>
      </c>
      <c r="B21" s="16">
        <f>66640+66895</f>
        <v>133535</v>
      </c>
      <c r="C21" s="18">
        <f t="shared" si="0"/>
        <v>121395.45454545453</v>
      </c>
      <c r="D21" s="18">
        <f t="shared" si="1"/>
        <v>12139.545454545454</v>
      </c>
      <c r="E21" s="16">
        <f>1960+2090</f>
        <v>4050</v>
      </c>
      <c r="F21" s="18">
        <f t="shared" si="2"/>
        <v>3681.8181818181815</v>
      </c>
      <c r="G21" s="18">
        <f t="shared" si="3"/>
        <v>368.18181818181819</v>
      </c>
      <c r="H21" s="16">
        <v>1120</v>
      </c>
      <c r="I21" s="18">
        <f t="shared" si="4"/>
        <v>933.33333333333337</v>
      </c>
      <c r="J21" s="18">
        <f t="shared" si="5"/>
        <v>186.66666666666669</v>
      </c>
      <c r="K21" s="16">
        <f>1280+1680</f>
        <v>2960</v>
      </c>
      <c r="L21" s="18">
        <f t="shared" si="6"/>
        <v>2466.666666666667</v>
      </c>
      <c r="M21" s="18">
        <f t="shared" si="7"/>
        <v>493.33333333333343</v>
      </c>
      <c r="N21" s="16">
        <f>2570+20</f>
        <v>2590</v>
      </c>
      <c r="O21" s="16">
        <f>68430+70645</f>
        <v>139075</v>
      </c>
      <c r="P21" s="18">
        <v>0</v>
      </c>
      <c r="Q21" s="18">
        <v>0</v>
      </c>
      <c r="R21" s="16">
        <v>7190</v>
      </c>
      <c r="S21" s="25"/>
    </row>
    <row r="22" spans="1:19" x14ac:dyDescent="0.3">
      <c r="A22" s="23">
        <v>45711</v>
      </c>
      <c r="B22" s="16">
        <f>92070+107035</f>
        <v>199105</v>
      </c>
      <c r="C22" s="18">
        <f t="shared" si="0"/>
        <v>181004.54545454544</v>
      </c>
      <c r="D22" s="18">
        <f t="shared" si="1"/>
        <v>18100.454545454544</v>
      </c>
      <c r="E22" s="16">
        <f>8510+7900</f>
        <v>16410</v>
      </c>
      <c r="F22" s="18">
        <f t="shared" si="2"/>
        <v>14918.181818181816</v>
      </c>
      <c r="G22" s="18">
        <f t="shared" si="3"/>
        <v>1491.8181818181818</v>
      </c>
      <c r="H22" s="18">
        <v>0</v>
      </c>
      <c r="I22" s="18">
        <f t="shared" si="4"/>
        <v>0</v>
      </c>
      <c r="J22" s="18">
        <f t="shared" si="5"/>
        <v>0</v>
      </c>
      <c r="K22" s="16">
        <f>2160+2080</f>
        <v>4240</v>
      </c>
      <c r="L22" s="18">
        <f t="shared" si="6"/>
        <v>3533.3333333333335</v>
      </c>
      <c r="M22" s="18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8">
        <v>0</v>
      </c>
      <c r="R22" s="16">
        <f>1790+5345</f>
        <v>7135</v>
      </c>
      <c r="S22" s="25"/>
    </row>
    <row r="23" spans="1:19" x14ac:dyDescent="0.3">
      <c r="A23" s="23">
        <v>45713</v>
      </c>
      <c r="B23" s="16">
        <f>29080+16690</f>
        <v>45770</v>
      </c>
      <c r="C23" s="18">
        <f t="shared" si="0"/>
        <v>41609.090909090904</v>
      </c>
      <c r="D23" s="18">
        <f t="shared" si="1"/>
        <v>4160.909090909091</v>
      </c>
      <c r="E23" s="16">
        <f>2580+2520</f>
        <v>5100</v>
      </c>
      <c r="F23" s="18">
        <f t="shared" si="2"/>
        <v>4636.363636363636</v>
      </c>
      <c r="G23" s="18">
        <f t="shared" si="3"/>
        <v>463.63636363636363</v>
      </c>
      <c r="H23" s="18">
        <v>0</v>
      </c>
      <c r="I23" s="18">
        <f t="shared" si="4"/>
        <v>0</v>
      </c>
      <c r="J23" s="18">
        <f t="shared" si="5"/>
        <v>0</v>
      </c>
      <c r="K23" s="16">
        <f>1200+1360</f>
        <v>2560</v>
      </c>
      <c r="L23" s="18">
        <f t="shared" si="6"/>
        <v>2133.3333333333335</v>
      </c>
      <c r="M23" s="18">
        <f t="shared" si="7"/>
        <v>426.66666666666674</v>
      </c>
      <c r="N23" s="16">
        <f>5562.5+3000</f>
        <v>8562.5</v>
      </c>
      <c r="O23" s="16">
        <f>27297.5+17570</f>
        <v>44867.5</v>
      </c>
      <c r="P23" s="18">
        <v>0</v>
      </c>
      <c r="Q23" s="18">
        <v>0</v>
      </c>
      <c r="R23" s="18">
        <v>0</v>
      </c>
      <c r="S23" s="25"/>
    </row>
    <row r="24" spans="1:19" x14ac:dyDescent="0.3">
      <c r="A24" s="23">
        <v>45714</v>
      </c>
      <c r="B24" s="16">
        <f>39835+53905</f>
        <v>93740</v>
      </c>
      <c r="C24" s="18">
        <f t="shared" si="0"/>
        <v>85218.181818181809</v>
      </c>
      <c r="D24" s="18">
        <f t="shared" si="1"/>
        <v>8521.818181818182</v>
      </c>
      <c r="E24" s="16">
        <f>1030+4265</f>
        <v>5295</v>
      </c>
      <c r="F24" s="18">
        <f t="shared" si="2"/>
        <v>4813.6363636363631</v>
      </c>
      <c r="G24" s="18">
        <f t="shared" si="3"/>
        <v>481.36363636363632</v>
      </c>
      <c r="H24" s="16">
        <v>300</v>
      </c>
      <c r="I24" s="18">
        <f t="shared" si="4"/>
        <v>250</v>
      </c>
      <c r="J24" s="18">
        <f t="shared" si="5"/>
        <v>50</v>
      </c>
      <c r="K24" s="16">
        <f>640+1840</f>
        <v>2480</v>
      </c>
      <c r="L24" s="18">
        <f t="shared" si="6"/>
        <v>2066.666666666667</v>
      </c>
      <c r="M24" s="18">
        <f t="shared" si="7"/>
        <v>413.33333333333343</v>
      </c>
      <c r="N24" s="16">
        <f>10790+19280</f>
        <v>30070</v>
      </c>
      <c r="O24" s="16">
        <f>30715+41030</f>
        <v>71745</v>
      </c>
      <c r="P24" s="18">
        <v>0</v>
      </c>
      <c r="Q24" s="18">
        <v>0</v>
      </c>
      <c r="R24" s="18">
        <v>0</v>
      </c>
      <c r="S24" s="25"/>
    </row>
    <row r="25" spans="1:19" x14ac:dyDescent="0.3">
      <c r="A25" s="23">
        <v>45715</v>
      </c>
      <c r="B25" s="16">
        <f>34280+56160</f>
        <v>90440</v>
      </c>
      <c r="C25" s="18">
        <f t="shared" si="0"/>
        <v>82218.181818181809</v>
      </c>
      <c r="D25" s="18">
        <f t="shared" si="1"/>
        <v>8221.818181818182</v>
      </c>
      <c r="E25" s="16">
        <f>1225+2540</f>
        <v>3765</v>
      </c>
      <c r="F25" s="18">
        <f t="shared" si="2"/>
        <v>3422.7272727272725</v>
      </c>
      <c r="G25" s="18">
        <f t="shared" si="3"/>
        <v>342.27272727272725</v>
      </c>
      <c r="H25" s="16">
        <f>700+450</f>
        <v>1150</v>
      </c>
      <c r="I25" s="18">
        <f t="shared" si="4"/>
        <v>958.33333333333337</v>
      </c>
      <c r="J25" s="18">
        <f t="shared" si="5"/>
        <v>191.66666666666669</v>
      </c>
      <c r="K25" s="16">
        <f>1760+1200</f>
        <v>2960</v>
      </c>
      <c r="L25" s="18">
        <f t="shared" si="6"/>
        <v>2466.666666666667</v>
      </c>
      <c r="M25" s="18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8">
        <v>0</v>
      </c>
      <c r="R25" s="16">
        <f>21980+6305</f>
        <v>28285</v>
      </c>
      <c r="S25" s="25"/>
    </row>
    <row r="26" spans="1:19" x14ac:dyDescent="0.3">
      <c r="A26" s="23">
        <v>45716</v>
      </c>
      <c r="B26" s="16">
        <f>102187.5+45610</f>
        <v>147797.5</v>
      </c>
      <c r="C26" s="18">
        <f t="shared" si="0"/>
        <v>134361.36363636362</v>
      </c>
      <c r="D26" s="18">
        <f t="shared" si="1"/>
        <v>13436.136363636362</v>
      </c>
      <c r="E26" s="16">
        <f>5510+2935</f>
        <v>8445</v>
      </c>
      <c r="F26" s="18">
        <f t="shared" si="2"/>
        <v>7677.272727272727</v>
      </c>
      <c r="G26" s="18">
        <f t="shared" si="3"/>
        <v>767.72727272727263</v>
      </c>
      <c r="H26" s="16">
        <f>1337.5+700</f>
        <v>2037.5</v>
      </c>
      <c r="I26" s="18">
        <f t="shared" si="4"/>
        <v>1697.9166666666667</v>
      </c>
      <c r="J26" s="18">
        <f t="shared" si="5"/>
        <v>339.58333333333337</v>
      </c>
      <c r="K26" s="16">
        <f>3360+1840</f>
        <v>5200</v>
      </c>
      <c r="L26" s="18">
        <f t="shared" si="6"/>
        <v>4333.3333333333339</v>
      </c>
      <c r="M26" s="18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8">
        <v>0</v>
      </c>
      <c r="R26" s="16">
        <v>10385</v>
      </c>
      <c r="S26" s="25"/>
    </row>
    <row r="27" spans="1:19" ht="15.6" x14ac:dyDescent="0.3">
      <c r="B27" s="28">
        <f>SUM(B3:B26)</f>
        <v>2734581.1799999997</v>
      </c>
      <c r="C27" s="28"/>
      <c r="D27" s="28"/>
      <c r="E27" s="28">
        <f>SUM(E3:E26)</f>
        <v>165195</v>
      </c>
      <c r="F27" s="28"/>
      <c r="G27" s="28"/>
      <c r="H27" s="28">
        <f>SUM(H3:H26)</f>
        <v>15097.5</v>
      </c>
      <c r="I27" s="28"/>
      <c r="J27" s="28"/>
      <c r="K27" s="28">
        <f>SUM(K3:K26)</f>
        <v>75183.570000000007</v>
      </c>
      <c r="L27" s="28"/>
      <c r="M27" s="28"/>
      <c r="N27" s="28">
        <f>SUM(N3:N26)</f>
        <v>219916.5</v>
      </c>
      <c r="O27" s="28">
        <f>SUM(O3:O26)</f>
        <v>2730683.25</v>
      </c>
      <c r="P27" s="28">
        <f>SUM(P3:P26)</f>
        <v>39457.5</v>
      </c>
      <c r="Q27" s="28">
        <f>SUM(Q3:Q26)</f>
        <v>0</v>
      </c>
      <c r="R27" s="28">
        <f>SUM(R3:R26)</f>
        <v>195080</v>
      </c>
      <c r="S27" s="29"/>
    </row>
    <row r="29" spans="1:19" ht="15" thickBot="1" x14ac:dyDescent="0.35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9" x14ac:dyDescent="0.3">
      <c r="A30" s="32" t="s">
        <v>22</v>
      </c>
      <c r="B30" s="33"/>
      <c r="C30" s="33"/>
      <c r="D30" s="34"/>
      <c r="E30" s="31"/>
      <c r="F30" s="32" t="s">
        <v>29</v>
      </c>
      <c r="G30" s="33"/>
      <c r="H30" s="33"/>
      <c r="I30" s="34"/>
      <c r="L30" s="32" t="s">
        <v>30</v>
      </c>
      <c r="M30" s="33"/>
      <c r="N30" s="33"/>
      <c r="O30" s="34"/>
      <c r="R30" s="30">
        <f>R27+P27+O27+N27</f>
        <v>3185137.25</v>
      </c>
    </row>
    <row r="31" spans="1:19" x14ac:dyDescent="0.3">
      <c r="A31" s="35"/>
      <c r="B31" s="36" t="s">
        <v>23</v>
      </c>
      <c r="C31" s="36" t="s">
        <v>24</v>
      </c>
      <c r="D31" s="37" t="s">
        <v>25</v>
      </c>
      <c r="E31" s="31"/>
      <c r="F31" s="35"/>
      <c r="G31" s="36" t="s">
        <v>23</v>
      </c>
      <c r="H31" s="36" t="s">
        <v>24</v>
      </c>
      <c r="I31" s="37" t="s">
        <v>25</v>
      </c>
      <c r="L31" s="35"/>
      <c r="M31" s="36" t="s">
        <v>31</v>
      </c>
      <c r="N31" s="36" t="s">
        <v>32</v>
      </c>
      <c r="O31" s="37" t="s">
        <v>25</v>
      </c>
      <c r="Q31" s="36" t="s">
        <v>35</v>
      </c>
      <c r="R31" s="30">
        <v>70630</v>
      </c>
    </row>
    <row r="32" spans="1:19" x14ac:dyDescent="0.3">
      <c r="A32" s="38">
        <v>0.1</v>
      </c>
      <c r="B32" s="39">
        <v>1370513.75</v>
      </c>
      <c r="C32" s="39">
        <v>1529262.43</v>
      </c>
      <c r="D32" s="40">
        <f>SUM(B32:C32)</f>
        <v>2899776.1799999997</v>
      </c>
      <c r="E32" s="30"/>
      <c r="F32" s="38">
        <v>0.1</v>
      </c>
      <c r="G32" s="39">
        <f>B27+E27</f>
        <v>2899776.1799999997</v>
      </c>
      <c r="H32" s="39"/>
      <c r="I32" s="40">
        <f>SUM(G32:H32)</f>
        <v>2899776.1799999997</v>
      </c>
      <c r="K32" s="30"/>
      <c r="L32" s="38">
        <v>0.1</v>
      </c>
      <c r="M32" s="39">
        <v>2863323.67</v>
      </c>
      <c r="N32" s="39">
        <f>M32*10/100</f>
        <v>286332.36699999997</v>
      </c>
      <c r="O32" s="40">
        <f>SUM(M32:N32)</f>
        <v>3149656.037</v>
      </c>
      <c r="R32" s="30">
        <f>SUM(R30:R31)</f>
        <v>3255767.25</v>
      </c>
    </row>
    <row r="33" spans="1:18" x14ac:dyDescent="0.3">
      <c r="A33" s="38">
        <v>0.2</v>
      </c>
      <c r="B33" s="39">
        <v>43956.5</v>
      </c>
      <c r="C33" s="39">
        <v>46324.57</v>
      </c>
      <c r="D33" s="40">
        <f>SUM(B33:C33)</f>
        <v>90281.07</v>
      </c>
      <c r="F33" s="38">
        <v>0.2</v>
      </c>
      <c r="G33" s="39">
        <f>H27+K27</f>
        <v>90281.07</v>
      </c>
      <c r="H33" s="39"/>
      <c r="I33" s="40">
        <f>SUM(G33:H33)</f>
        <v>90281.07</v>
      </c>
      <c r="L33" s="38">
        <v>0.2</v>
      </c>
      <c r="M33" s="39">
        <v>88425.94</v>
      </c>
      <c r="N33" s="39">
        <f>M33*20/100</f>
        <v>17685.188000000002</v>
      </c>
      <c r="O33" s="40">
        <f>SUM(M33:N33)</f>
        <v>106111.128</v>
      </c>
      <c r="Q33" s="22">
        <v>600</v>
      </c>
      <c r="R33" s="30">
        <f>M35</f>
        <v>2951749.61</v>
      </c>
    </row>
    <row r="34" spans="1:18" x14ac:dyDescent="0.3">
      <c r="A34" s="41" t="s">
        <v>26</v>
      </c>
      <c r="B34" s="39">
        <v>76500</v>
      </c>
      <c r="C34" s="39">
        <v>118580</v>
      </c>
      <c r="D34" s="40">
        <f>SUM(B34:C34)</f>
        <v>195080</v>
      </c>
      <c r="F34" s="41" t="s">
        <v>26</v>
      </c>
      <c r="G34" s="39">
        <f>R27</f>
        <v>195080</v>
      </c>
      <c r="H34" s="39"/>
      <c r="I34" s="40">
        <f>SUM(G34:H34)</f>
        <v>195080</v>
      </c>
      <c r="L34" s="41"/>
      <c r="M34" s="39">
        <f>X27</f>
        <v>0</v>
      </c>
      <c r="N34" s="39"/>
      <c r="O34" s="40">
        <f>SUM(M34:N34)</f>
        <v>0</v>
      </c>
      <c r="Q34" s="30">
        <v>391</v>
      </c>
      <c r="R34" s="30">
        <f>N32+N33</f>
        <v>304017.55499999999</v>
      </c>
    </row>
    <row r="35" spans="1:18" x14ac:dyDescent="0.3">
      <c r="A35" s="41"/>
      <c r="B35" s="42"/>
      <c r="C35" s="43" t="s">
        <v>25</v>
      </c>
      <c r="D35" s="44">
        <f>SUM(D32:D34)</f>
        <v>3185137.2499999995</v>
      </c>
      <c r="F35" s="41"/>
      <c r="G35" s="42"/>
      <c r="H35" s="43" t="s">
        <v>25</v>
      </c>
      <c r="I35" s="44">
        <f>SUM(I32:I34)</f>
        <v>3185137.2499999995</v>
      </c>
      <c r="L35" s="41"/>
      <c r="M35" s="39">
        <f>SUM(M32:M34)</f>
        <v>2951749.61</v>
      </c>
      <c r="N35" s="43" t="s">
        <v>25</v>
      </c>
      <c r="O35" s="44">
        <f>SUM(O32:O34)</f>
        <v>3255767.165</v>
      </c>
      <c r="R35" s="22">
        <f>SUM(R33:R34)</f>
        <v>3255767.165</v>
      </c>
    </row>
    <row r="36" spans="1:18" x14ac:dyDescent="0.3">
      <c r="A36" s="41" t="s">
        <v>5</v>
      </c>
      <c r="B36" s="39">
        <v>91390.5</v>
      </c>
      <c r="C36" s="39">
        <v>128526</v>
      </c>
      <c r="D36" s="40">
        <f t="shared" ref="D36:D37" si="8">SUM(B36:C36)</f>
        <v>219916.5</v>
      </c>
      <c r="F36" s="41" t="s">
        <v>5</v>
      </c>
      <c r="G36" s="39">
        <f>N27</f>
        <v>219916.5</v>
      </c>
      <c r="H36" s="39"/>
      <c r="I36" s="40">
        <f t="shared" ref="I36:I37" si="9">SUM(G36:H36)</f>
        <v>219916.5</v>
      </c>
      <c r="L36" s="41" t="s">
        <v>33</v>
      </c>
      <c r="M36" s="39"/>
      <c r="N36" s="39"/>
      <c r="O36" s="40"/>
    </row>
    <row r="37" spans="1:18" x14ac:dyDescent="0.3">
      <c r="A37" s="41" t="s">
        <v>27</v>
      </c>
      <c r="B37" s="39">
        <v>1399579.75</v>
      </c>
      <c r="C37" s="39">
        <v>1565641</v>
      </c>
      <c r="D37" s="40">
        <f t="shared" si="8"/>
        <v>2965220.75</v>
      </c>
      <c r="F37" s="41" t="s">
        <v>27</v>
      </c>
      <c r="G37" s="39">
        <f>O27+P27+R27</f>
        <v>2965220.75</v>
      </c>
      <c r="H37" s="39"/>
      <c r="I37" s="40">
        <f t="shared" si="9"/>
        <v>2965220.75</v>
      </c>
      <c r="L37" s="41" t="s">
        <v>34</v>
      </c>
      <c r="M37" s="39"/>
      <c r="N37" s="39"/>
      <c r="O37" s="40">
        <v>3185137.25</v>
      </c>
      <c r="R37" s="30">
        <f>R35-R32</f>
        <v>-8.4999999962747097E-2</v>
      </c>
    </row>
    <row r="38" spans="1:18" x14ac:dyDescent="0.3">
      <c r="A38" s="41"/>
      <c r="B38" s="39"/>
      <c r="C38" s="43" t="s">
        <v>25</v>
      </c>
      <c r="D38" s="44">
        <f>SUM(D36:D37)</f>
        <v>3185137.25</v>
      </c>
      <c r="F38" s="41"/>
      <c r="G38" s="39"/>
      <c r="H38" s="43" t="s">
        <v>25</v>
      </c>
      <c r="I38" s="44">
        <f>SUM(I36:I37)</f>
        <v>3185137.25</v>
      </c>
      <c r="L38" s="41"/>
      <c r="M38" s="39"/>
      <c r="N38" s="43" t="s">
        <v>25</v>
      </c>
      <c r="O38" s="44">
        <f>SUM(O36:O37)</f>
        <v>3185137.25</v>
      </c>
    </row>
    <row r="39" spans="1:18" ht="15" thickBot="1" x14ac:dyDescent="0.35">
      <c r="A39" s="45"/>
      <c r="B39" s="46"/>
      <c r="C39" s="47" t="s">
        <v>28</v>
      </c>
      <c r="D39" s="48">
        <f>D38-D35</f>
        <v>0</v>
      </c>
      <c r="F39" s="45"/>
      <c r="G39" s="46"/>
      <c r="H39" s="47" t="s">
        <v>28</v>
      </c>
      <c r="I39" s="48">
        <f>I38-I35</f>
        <v>0</v>
      </c>
      <c r="L39" s="45"/>
      <c r="M39" s="46"/>
      <c r="N39" s="47" t="s">
        <v>36</v>
      </c>
      <c r="O39" s="48">
        <f>O35-O37</f>
        <v>70629.915000000037</v>
      </c>
    </row>
    <row r="40" spans="1:18" x14ac:dyDescent="0.3">
      <c r="L40" s="22" t="s">
        <v>33</v>
      </c>
      <c r="O40" s="22">
        <v>70630</v>
      </c>
    </row>
    <row r="41" spans="1:18" x14ac:dyDescent="0.3">
      <c r="O41" s="30">
        <f>O39-O40</f>
        <v>-8.4999999962747097E-2</v>
      </c>
    </row>
  </sheetData>
  <mergeCells count="1">
    <mergeCell ref="Q1:R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OCAK</vt:lpstr>
      <vt:lpstr>ŞUBAT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2025-01-29T09:36:04Z</cp:lastPrinted>
  <dcterms:created xsi:type="dcterms:W3CDTF">2023-03-28T06:21:12Z</dcterms:created>
  <dcterms:modified xsi:type="dcterms:W3CDTF">2025-03-20T09:57:28Z</dcterms:modified>
  <cp:category/>
  <cp:contentStatus/>
</cp:coreProperties>
</file>